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urceCode\Git\YieldChainOTCMain\UnitTestProject\"/>
    </mc:Choice>
  </mc:AlternateContent>
  <bookViews>
    <workbookView xWindow="0" yWindow="0" windowWidth="16875" windowHeight="9750" firstSheet="2" activeTab="3"/>
  </bookViews>
  <sheets>
    <sheet name="RB1909_商品期货" sheetId="1" r:id="rId1"/>
    <sheet name="RB1909_场内期权" sheetId="2" r:id="rId2"/>
    <sheet name="JD1909_商品期货" sheetId="3" r:id="rId3"/>
    <sheet name="JD1909_场内期权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4" l="1"/>
  <c r="R12" i="4"/>
  <c r="O13" i="4" l="1"/>
  <c r="P13" i="4" s="1"/>
  <c r="M13" i="4"/>
  <c r="O12" i="4"/>
  <c r="P12" i="4" s="1"/>
  <c r="R11" i="4"/>
  <c r="M12" i="4"/>
  <c r="O11" i="4"/>
  <c r="N11" i="4"/>
  <c r="M11" i="4"/>
  <c r="N14" i="4"/>
  <c r="M14" i="4"/>
  <c r="R9" i="4"/>
  <c r="R14" i="4" s="1"/>
  <c r="O9" i="4"/>
  <c r="O14" i="4" s="1"/>
  <c r="P14" i="4" s="1"/>
  <c r="R8" i="4"/>
  <c r="O8" i="4"/>
  <c r="R7" i="4"/>
  <c r="O7" i="4"/>
  <c r="R6" i="4"/>
  <c r="O6" i="4"/>
  <c r="R5" i="4"/>
  <c r="O5" i="4"/>
  <c r="P11" i="4" s="1"/>
  <c r="K16" i="3" l="1"/>
  <c r="K15" i="3"/>
  <c r="K13" i="1"/>
  <c r="I9" i="3"/>
  <c r="I16" i="3" s="1"/>
  <c r="I15" i="3"/>
  <c r="N9" i="3"/>
  <c r="M12" i="3"/>
  <c r="N12" i="3" s="1"/>
  <c r="J12" i="3"/>
  <c r="M11" i="3"/>
  <c r="N11" i="3" s="1"/>
  <c r="J11" i="3"/>
  <c r="M10" i="3"/>
  <c r="N10" i="3" s="1"/>
  <c r="J10" i="3"/>
  <c r="M13" i="3"/>
  <c r="N13" i="3" s="1"/>
  <c r="J13" i="3"/>
  <c r="M6" i="3"/>
  <c r="N6" i="3" s="1"/>
  <c r="J6" i="3"/>
  <c r="M8" i="3"/>
  <c r="N8" i="3" s="1"/>
  <c r="J8" i="3"/>
  <c r="M7" i="3"/>
  <c r="J7" i="3"/>
  <c r="N5" i="3"/>
  <c r="J5" i="3"/>
  <c r="J9" i="3" l="1"/>
  <c r="K9" i="3" s="1"/>
  <c r="L9" i="3" s="1"/>
  <c r="N16" i="3"/>
  <c r="M16" i="3"/>
  <c r="M15" i="3"/>
  <c r="K5" i="3"/>
  <c r="L5" i="3" s="1"/>
  <c r="K8" i="3"/>
  <c r="L8" i="3" s="1"/>
  <c r="J15" i="3"/>
  <c r="N7" i="3"/>
  <c r="K7" i="3" s="1"/>
  <c r="L7" i="3" s="1"/>
  <c r="J16" i="3" l="1"/>
  <c r="L16" i="3" s="1"/>
  <c r="H15" i="3"/>
  <c r="L15" i="3"/>
  <c r="N15" i="3"/>
  <c r="H16" i="3" l="1"/>
  <c r="O5" i="2" l="1"/>
  <c r="O6" i="2"/>
  <c r="O11" i="2" s="1"/>
  <c r="P11" i="2" s="1"/>
  <c r="P9" i="2"/>
  <c r="R4" i="2"/>
  <c r="R9" i="2" s="1"/>
  <c r="R5" i="2"/>
  <c r="R10" i="2" s="1"/>
  <c r="R6" i="2"/>
  <c r="R11" i="2" s="1"/>
  <c r="R3" i="2"/>
  <c r="R2" i="2"/>
  <c r="N10" i="2"/>
  <c r="N11" i="2"/>
  <c r="N9" i="2"/>
  <c r="N8" i="2"/>
  <c r="M10" i="2"/>
  <c r="M11" i="2"/>
  <c r="M9" i="2"/>
  <c r="M8" i="2"/>
  <c r="O10" i="2"/>
  <c r="P10" i="2" s="1"/>
  <c r="O4" i="2"/>
  <c r="O9" i="2" s="1"/>
  <c r="O3" i="2"/>
  <c r="O2" i="2"/>
  <c r="M8" i="1"/>
  <c r="I14" i="1"/>
  <c r="J8" i="1"/>
  <c r="R8" i="2" l="1"/>
  <c r="O8" i="2"/>
  <c r="P8" i="2" s="1"/>
  <c r="N11" i="1"/>
  <c r="N10" i="1"/>
  <c r="N9" i="1"/>
  <c r="M9" i="1" l="1"/>
  <c r="M10" i="1"/>
  <c r="M11" i="1"/>
  <c r="N8" i="1"/>
  <c r="J14" i="1"/>
  <c r="H14" i="1" s="1"/>
  <c r="J13" i="1"/>
  <c r="J9" i="1"/>
  <c r="J10" i="1"/>
  <c r="J11" i="1"/>
  <c r="N7" i="1"/>
  <c r="N13" i="1" s="1"/>
  <c r="J7" i="1"/>
  <c r="I13" i="1"/>
  <c r="M7" i="1"/>
  <c r="M6" i="1"/>
  <c r="N6" i="1" s="1"/>
  <c r="J6" i="1"/>
  <c r="N4" i="1"/>
  <c r="J5" i="1"/>
  <c r="M5" i="1"/>
  <c r="N5" i="1" s="1"/>
  <c r="J4" i="1"/>
  <c r="N14" i="1" l="1"/>
  <c r="K14" i="1" s="1"/>
  <c r="L14" i="1" s="1"/>
  <c r="M14" i="1"/>
  <c r="M13" i="1"/>
  <c r="L13" i="1"/>
  <c r="K6" i="1"/>
  <c r="H13" i="1"/>
  <c r="K5" i="1"/>
  <c r="K4" i="1"/>
  <c r="L6" i="1" l="1"/>
  <c r="L4" i="1"/>
  <c r="L5" i="1" l="1"/>
</calcChain>
</file>

<file path=xl/sharedStrings.xml><?xml version="1.0" encoding="utf-8"?>
<sst xmlns="http://schemas.openxmlformats.org/spreadsheetml/2006/main" count="291" uniqueCount="73">
  <si>
    <t>PV</t>
    <phoneticPr fontId="1" type="noConversion"/>
  </si>
  <si>
    <t>DailyPnl</t>
    <phoneticPr fontId="1" type="noConversion"/>
  </si>
  <si>
    <t>TotalPnl</t>
    <phoneticPr fontId="1" type="noConversion"/>
  </si>
  <si>
    <t>ValueDate/TradeDate</t>
    <phoneticPr fontId="1" type="noConversion"/>
  </si>
  <si>
    <t>AveragePrice</t>
    <phoneticPr fontId="1" type="noConversion"/>
  </si>
  <si>
    <t>Type</t>
    <phoneticPr fontId="1" type="noConversion"/>
  </si>
  <si>
    <t>Position</t>
    <phoneticPr fontId="1" type="noConversion"/>
  </si>
  <si>
    <t>UnderlyingCode</t>
    <phoneticPr fontId="1" type="noConversion"/>
  </si>
  <si>
    <t>Amount</t>
    <phoneticPr fontId="1" type="noConversion"/>
  </si>
  <si>
    <t>Cost</t>
    <phoneticPr fontId="1" type="noConversion"/>
  </si>
  <si>
    <t>RB1909</t>
  </si>
  <si>
    <t>RB1909</t>
    <phoneticPr fontId="1" type="noConversion"/>
  </si>
  <si>
    <t>PositionType</t>
    <phoneticPr fontId="1" type="noConversion"/>
  </si>
  <si>
    <t>TradeType</t>
    <phoneticPr fontId="1" type="noConversion"/>
  </si>
  <si>
    <t>long</t>
    <phoneticPr fontId="1" type="noConversion"/>
  </si>
  <si>
    <t>Trade</t>
    <phoneticPr fontId="1" type="noConversion"/>
  </si>
  <si>
    <t>BuySell</t>
    <phoneticPr fontId="1" type="noConversion"/>
  </si>
  <si>
    <t>手续费</t>
    <phoneticPr fontId="1" type="noConversion"/>
  </si>
  <si>
    <t>Commission</t>
    <phoneticPr fontId="1" type="noConversion"/>
  </si>
  <si>
    <t>Unrealized</t>
    <phoneticPr fontId="1" type="noConversion"/>
  </si>
  <si>
    <t>Realized</t>
    <phoneticPr fontId="1" type="noConversion"/>
  </si>
  <si>
    <t>short</t>
    <phoneticPr fontId="1" type="noConversion"/>
  </si>
  <si>
    <r>
      <rPr>
        <sz val="11"/>
        <color theme="1"/>
        <rFont val="宋体"/>
        <family val="2"/>
        <charset val="134"/>
      </rPr>
      <t>商品期货</t>
    </r>
    <phoneticPr fontId="1" type="noConversion"/>
  </si>
  <si>
    <r>
      <rPr>
        <sz val="11"/>
        <color theme="1"/>
        <rFont val="宋体"/>
        <family val="2"/>
        <charset val="134"/>
      </rPr>
      <t>买入</t>
    </r>
    <phoneticPr fontId="1" type="noConversion"/>
  </si>
  <si>
    <r>
      <rPr>
        <sz val="11"/>
        <color theme="1"/>
        <rFont val="宋体"/>
        <family val="2"/>
        <charset val="134"/>
      </rPr>
      <t>多头开仓</t>
    </r>
    <phoneticPr fontId="1" type="noConversion"/>
  </si>
  <si>
    <r>
      <rPr>
        <sz val="11"/>
        <color theme="1"/>
        <rFont val="宋体"/>
        <family val="2"/>
        <charset val="134"/>
      </rPr>
      <t>多头平仓</t>
    </r>
    <phoneticPr fontId="1" type="noConversion"/>
  </si>
  <si>
    <r>
      <rPr>
        <sz val="11"/>
        <color theme="1"/>
        <rFont val="宋体"/>
        <family val="2"/>
        <charset val="134"/>
      </rPr>
      <t>空头开仓</t>
    </r>
    <phoneticPr fontId="1" type="noConversion"/>
  </si>
  <si>
    <r>
      <rPr>
        <sz val="11"/>
        <color theme="1"/>
        <rFont val="宋体"/>
        <family val="2"/>
        <charset val="134"/>
      </rPr>
      <t>空头平仓</t>
    </r>
    <phoneticPr fontId="1" type="noConversion"/>
  </si>
  <si>
    <t>Trade</t>
    <phoneticPr fontId="1" type="noConversion"/>
  </si>
  <si>
    <t>ExchangeOptionCode</t>
  </si>
  <si>
    <t>RB1909</t>
    <phoneticPr fontId="1" type="noConversion"/>
  </si>
  <si>
    <t>RB1909C4000</t>
    <phoneticPr fontId="1" type="noConversion"/>
  </si>
  <si>
    <t>RB1909C3950</t>
    <phoneticPr fontId="1" type="noConversion"/>
  </si>
  <si>
    <t>RB1909P4100</t>
    <phoneticPr fontId="1" type="noConversion"/>
  </si>
  <si>
    <t>RB1909P4200</t>
    <phoneticPr fontId="1" type="noConversion"/>
  </si>
  <si>
    <t>场内期权</t>
    <phoneticPr fontId="1" type="noConversion"/>
  </si>
  <si>
    <t>OptionType</t>
    <phoneticPr fontId="1" type="noConversion"/>
  </si>
  <si>
    <t>Strike</t>
    <phoneticPr fontId="1" type="noConversion"/>
  </si>
  <si>
    <t>看涨</t>
    <phoneticPr fontId="1" type="noConversion"/>
  </si>
  <si>
    <t>看跌</t>
    <phoneticPr fontId="1" type="noConversion"/>
  </si>
  <si>
    <t>Position</t>
    <phoneticPr fontId="1" type="noConversion"/>
  </si>
  <si>
    <t>TradeId/HedgeCode</t>
    <phoneticPr fontId="1" type="noConversion"/>
  </si>
  <si>
    <r>
      <t>1_</t>
    </r>
    <r>
      <rPr>
        <sz val="11"/>
        <color theme="1"/>
        <rFont val="宋体"/>
        <family val="3"/>
        <charset val="134"/>
      </rPr>
      <t>商品期货</t>
    </r>
    <r>
      <rPr>
        <sz val="11"/>
        <color theme="1"/>
        <rFont val="Calibri"/>
        <family val="2"/>
      </rPr>
      <t>_long_RB1909</t>
    </r>
    <phoneticPr fontId="1" type="noConversion"/>
  </si>
  <si>
    <t>ExerciseDate</t>
    <phoneticPr fontId="1" type="noConversion"/>
  </si>
  <si>
    <t>多头开仓</t>
    <phoneticPr fontId="1" type="noConversion"/>
  </si>
  <si>
    <t>多头平仓</t>
    <phoneticPr fontId="1" type="noConversion"/>
  </si>
  <si>
    <t>多头开仓</t>
    <phoneticPr fontId="1" type="noConversion"/>
  </si>
  <si>
    <t>空头开仓</t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</si>
  <si>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_long_RB1909C4000</t>
    </r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</si>
  <si>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_long_RB1909C3950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</si>
  <si>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_short_RB1909P4100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</si>
  <si>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_short_RB1909P4200</t>
    </r>
    <phoneticPr fontId="1" type="noConversion"/>
  </si>
  <si>
    <t>Vol</t>
    <phoneticPr fontId="1" type="noConversion"/>
  </si>
  <si>
    <t>现价</t>
    <phoneticPr fontId="1" type="noConversion"/>
  </si>
  <si>
    <t>SinglePrice</t>
    <phoneticPr fontId="1" type="noConversion"/>
  </si>
  <si>
    <t>JD1909</t>
    <phoneticPr fontId="1" type="noConversion"/>
  </si>
  <si>
    <r>
      <t>1_</t>
    </r>
    <r>
      <rPr>
        <sz val="11"/>
        <color theme="1"/>
        <rFont val="宋体"/>
        <family val="3"/>
        <charset val="134"/>
      </rPr>
      <t>商品期货</t>
    </r>
    <r>
      <rPr>
        <sz val="11"/>
        <color theme="1"/>
        <rFont val="Calibri"/>
        <family val="2"/>
      </rPr>
      <t>_short_RB1909</t>
    </r>
    <phoneticPr fontId="1" type="noConversion"/>
  </si>
  <si>
    <t>卖出</t>
    <phoneticPr fontId="1" type="noConversion"/>
  </si>
  <si>
    <t>short</t>
    <phoneticPr fontId="1" type="noConversion"/>
  </si>
  <si>
    <t>Position</t>
    <phoneticPr fontId="1" type="noConversion"/>
  </si>
  <si>
    <r>
      <t>1_</t>
    </r>
    <r>
      <rPr>
        <sz val="11"/>
        <color theme="1"/>
        <rFont val="宋体"/>
        <family val="3"/>
        <charset val="134"/>
      </rPr>
      <t>商品期货</t>
    </r>
    <r>
      <rPr>
        <sz val="11"/>
        <color theme="1"/>
        <rFont val="Calibri"/>
        <family val="2"/>
      </rPr>
      <t>_long_JD1909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</si>
  <si>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商品期货</t>
    </r>
    <r>
      <rPr>
        <sz val="11"/>
        <color theme="1"/>
        <rFont val="Calibri"/>
        <family val="2"/>
      </rPr>
      <t>_short_JD1909</t>
    </r>
    <phoneticPr fontId="1" type="noConversion"/>
  </si>
  <si>
    <t>JD1909</t>
    <phoneticPr fontId="1" type="noConversion"/>
  </si>
  <si>
    <t>JD1909C4300</t>
    <phoneticPr fontId="1" type="noConversion"/>
  </si>
  <si>
    <t>Position</t>
    <phoneticPr fontId="1" type="noConversion"/>
  </si>
  <si>
    <t>Position</t>
    <phoneticPr fontId="1" type="noConversion"/>
  </si>
  <si>
    <t>JD1909P4400</t>
    <phoneticPr fontId="1" type="noConversion"/>
  </si>
  <si>
    <t>空头平仓</t>
    <phoneticPr fontId="1" type="noConversion"/>
  </si>
  <si>
    <t>多头平仓</t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</si>
  <si>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_long_JD1909C4300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</si>
  <si>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_short_JD1909C4300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</si>
  <si>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_long_JD1909P4400</t>
    </r>
    <phoneticPr fontId="1" type="noConversion"/>
  </si>
  <si>
    <r>
      <t>1_</t>
    </r>
    <r>
      <rPr>
        <sz val="11"/>
        <color theme="1"/>
        <rFont val="宋体"/>
        <family val="3"/>
        <charset val="134"/>
      </rPr>
      <t>场内期权</t>
    </r>
    <r>
      <rPr>
        <sz val="11"/>
        <color theme="1"/>
        <rFont val="Calibri"/>
        <family val="2"/>
      </rPr>
      <t>_short_JD1909P4400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</si>
</sst>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0000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4" fontId="5" fillId="5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opLeftCell="H1" workbookViewId="0">
      <selection activeCell="N13" sqref="N13"/>
    </sheetView>
  </sheetViews>
  <sheetFormatPr defaultRowHeight="15" x14ac:dyDescent="0.15"/>
  <cols>
    <col min="1" max="1" width="22.625" style="8" bestFit="1" customWidth="1"/>
    <col min="2" max="2" width="9" style="8"/>
    <col min="3" max="3" width="23.125" style="8" customWidth="1"/>
    <col min="4" max="4" width="18.25" style="8" bestFit="1" customWidth="1"/>
    <col min="5" max="5" width="12" style="8" bestFit="1" customWidth="1"/>
    <col min="6" max="6" width="9.625" style="8" bestFit="1" customWidth="1"/>
    <col min="7" max="8" width="15.75" style="8" bestFit="1" customWidth="1"/>
    <col min="9" max="9" width="8.5" style="8" bestFit="1" customWidth="1"/>
    <col min="10" max="10" width="10.5" style="8" bestFit="1" customWidth="1"/>
    <col min="11" max="11" width="15.25" style="8" customWidth="1"/>
    <col min="12" max="12" width="14.125" style="8" customWidth="1"/>
    <col min="13" max="13" width="13.875" style="8" customWidth="1"/>
    <col min="14" max="14" width="11.125" style="8" customWidth="1"/>
    <col min="15" max="15" width="13.25" style="8" bestFit="1" customWidth="1"/>
    <col min="16" max="16" width="11.125" style="8" customWidth="1"/>
    <col min="17" max="17" width="13.25" customWidth="1"/>
  </cols>
  <sheetData>
    <row r="1" spans="1:19" s="1" customFormat="1" x14ac:dyDescent="0.15">
      <c r="A1" s="7" t="s">
        <v>41</v>
      </c>
      <c r="B1" s="7" t="s">
        <v>5</v>
      </c>
      <c r="C1" s="7" t="s">
        <v>3</v>
      </c>
      <c r="D1" s="7" t="s">
        <v>7</v>
      </c>
      <c r="E1" s="7" t="s">
        <v>13</v>
      </c>
      <c r="F1" s="7" t="s">
        <v>16</v>
      </c>
      <c r="G1" s="7" t="s">
        <v>12</v>
      </c>
      <c r="H1" s="7" t="s">
        <v>4</v>
      </c>
      <c r="I1" s="7" t="s">
        <v>8</v>
      </c>
      <c r="J1" s="7" t="s">
        <v>0</v>
      </c>
      <c r="K1" s="7" t="s">
        <v>1</v>
      </c>
      <c r="L1" s="7" t="s">
        <v>2</v>
      </c>
      <c r="M1" s="7" t="s">
        <v>18</v>
      </c>
      <c r="N1" s="7" t="s">
        <v>9</v>
      </c>
      <c r="O1" s="7" t="s">
        <v>19</v>
      </c>
      <c r="P1" s="7" t="s">
        <v>20</v>
      </c>
      <c r="R1" s="1" t="s">
        <v>17</v>
      </c>
      <c r="S1" s="1">
        <v>5.0000000000000001E-4</v>
      </c>
    </row>
    <row r="2" spans="1:19" x14ac:dyDescent="0.15">
      <c r="B2" s="8" t="s">
        <v>6</v>
      </c>
      <c r="C2" s="9">
        <v>43630</v>
      </c>
      <c r="D2" s="8" t="s">
        <v>11</v>
      </c>
      <c r="E2" s="8" t="s">
        <v>22</v>
      </c>
      <c r="F2" s="8" t="s">
        <v>23</v>
      </c>
      <c r="G2" s="8" t="s">
        <v>14</v>
      </c>
      <c r="H2" s="8">
        <v>3990.5</v>
      </c>
      <c r="I2" s="8">
        <v>1000</v>
      </c>
      <c r="J2" s="8">
        <v>4040000</v>
      </c>
      <c r="K2" s="8">
        <v>170000</v>
      </c>
      <c r="L2" s="8">
        <v>47504.75</v>
      </c>
      <c r="N2" s="8">
        <v>3992495.25</v>
      </c>
      <c r="R2" s="1" t="s">
        <v>53</v>
      </c>
      <c r="S2" s="1">
        <v>4025</v>
      </c>
    </row>
    <row r="3" spans="1:19" x14ac:dyDescent="0.15">
      <c r="C3" s="9"/>
      <c r="R3" s="1"/>
      <c r="S3" s="1"/>
    </row>
    <row r="4" spans="1:19" s="2" customFormat="1" x14ac:dyDescent="0.15">
      <c r="A4" s="10"/>
      <c r="B4" s="10" t="s">
        <v>6</v>
      </c>
      <c r="C4" s="11">
        <v>43633</v>
      </c>
      <c r="D4" s="10" t="s">
        <v>11</v>
      </c>
      <c r="E4" s="10" t="s">
        <v>22</v>
      </c>
      <c r="F4" s="10"/>
      <c r="G4" s="10" t="s">
        <v>14</v>
      </c>
      <c r="H4" s="10">
        <v>3990.5</v>
      </c>
      <c r="I4" s="10">
        <v>1000</v>
      </c>
      <c r="J4" s="10">
        <f>I4*$S$2</f>
        <v>4025000</v>
      </c>
      <c r="K4" s="10">
        <f>J4-J2</f>
        <v>-15000</v>
      </c>
      <c r="L4" s="10">
        <f>L2+K4</f>
        <v>32504.75</v>
      </c>
      <c r="M4" s="10"/>
      <c r="N4" s="10">
        <f>N2</f>
        <v>3992495.25</v>
      </c>
      <c r="O4" s="10"/>
      <c r="P4" s="10"/>
      <c r="R4" s="3"/>
      <c r="S4" s="3"/>
    </row>
    <row r="5" spans="1:19" s="2" customFormat="1" x14ac:dyDescent="0.15">
      <c r="A5" s="10">
        <v>101</v>
      </c>
      <c r="B5" s="10" t="s">
        <v>15</v>
      </c>
      <c r="C5" s="11">
        <v>43633</v>
      </c>
      <c r="D5" s="10" t="s">
        <v>11</v>
      </c>
      <c r="E5" s="10" t="s">
        <v>22</v>
      </c>
      <c r="F5" s="10" t="s">
        <v>24</v>
      </c>
      <c r="G5" s="10" t="s">
        <v>14</v>
      </c>
      <c r="H5" s="10">
        <v>3955</v>
      </c>
      <c r="I5" s="10">
        <v>200</v>
      </c>
      <c r="J5" s="10">
        <f>I5*$S$2</f>
        <v>805000</v>
      </c>
      <c r="K5" s="10">
        <f>J5-N5</f>
        <v>13604.5</v>
      </c>
      <c r="L5" s="10">
        <f>K5</f>
        <v>13604.5</v>
      </c>
      <c r="M5" s="10">
        <f>H5*I5*$S$1</f>
        <v>395.5</v>
      </c>
      <c r="N5" s="10">
        <f>H5*I5+M5</f>
        <v>791395.5</v>
      </c>
      <c r="O5" s="10"/>
      <c r="P5" s="10"/>
    </row>
    <row r="6" spans="1:19" s="2" customFormat="1" x14ac:dyDescent="0.15">
      <c r="A6" s="10">
        <v>102</v>
      </c>
      <c r="B6" s="10" t="s">
        <v>15</v>
      </c>
      <c r="C6" s="11">
        <v>43633</v>
      </c>
      <c r="D6" s="10" t="s">
        <v>11</v>
      </c>
      <c r="E6" s="10" t="s">
        <v>22</v>
      </c>
      <c r="F6" s="10" t="s">
        <v>24</v>
      </c>
      <c r="G6" s="10" t="s">
        <v>14</v>
      </c>
      <c r="H6" s="10">
        <v>3990</v>
      </c>
      <c r="I6" s="10">
        <v>110</v>
      </c>
      <c r="J6" s="10">
        <f>I6*$S$2</f>
        <v>442750</v>
      </c>
      <c r="K6" s="10">
        <f>J6-N6</f>
        <v>3630.5499999999884</v>
      </c>
      <c r="L6" s="10">
        <f>K6</f>
        <v>3630.5499999999884</v>
      </c>
      <c r="M6" s="10">
        <f>H6*I6*$S$1</f>
        <v>219.45000000000002</v>
      </c>
      <c r="N6" s="10">
        <f>H6*I6+M6</f>
        <v>439119.45</v>
      </c>
      <c r="O6" s="10"/>
      <c r="P6" s="10"/>
    </row>
    <row r="7" spans="1:19" s="2" customFormat="1" x14ac:dyDescent="0.15">
      <c r="A7" s="10">
        <v>103</v>
      </c>
      <c r="B7" s="10" t="s">
        <v>15</v>
      </c>
      <c r="C7" s="11">
        <v>43633</v>
      </c>
      <c r="D7" s="10" t="s">
        <v>11</v>
      </c>
      <c r="E7" s="10" t="s">
        <v>22</v>
      </c>
      <c r="F7" s="10" t="s">
        <v>25</v>
      </c>
      <c r="G7" s="10" t="s">
        <v>14</v>
      </c>
      <c r="H7" s="10">
        <v>3985</v>
      </c>
      <c r="I7" s="10">
        <v>130</v>
      </c>
      <c r="J7" s="10">
        <f>-I7*$S$2</f>
        <v>-523250</v>
      </c>
      <c r="K7" s="10"/>
      <c r="L7" s="10"/>
      <c r="M7" s="10">
        <f>H7*I7*$S$1</f>
        <v>259.02499999999998</v>
      </c>
      <c r="N7" s="10">
        <f>-H7*I7+M7</f>
        <v>-517790.97499999998</v>
      </c>
      <c r="O7" s="10"/>
      <c r="P7" s="10"/>
    </row>
    <row r="8" spans="1:19" s="4" customFormat="1" x14ac:dyDescent="0.15">
      <c r="A8" s="12">
        <v>104</v>
      </c>
      <c r="B8" s="12" t="s">
        <v>15</v>
      </c>
      <c r="C8" s="13">
        <v>43633</v>
      </c>
      <c r="D8" s="12" t="s">
        <v>10</v>
      </c>
      <c r="E8" s="12" t="s">
        <v>22</v>
      </c>
      <c r="F8" s="12" t="s">
        <v>26</v>
      </c>
      <c r="G8" s="12" t="s">
        <v>21</v>
      </c>
      <c r="H8" s="12">
        <v>4000</v>
      </c>
      <c r="I8" s="12">
        <v>-200</v>
      </c>
      <c r="J8" s="12">
        <f>I8*$S$2</f>
        <v>-805000</v>
      </c>
      <c r="K8" s="12"/>
      <c r="L8" s="12"/>
      <c r="M8" s="12">
        <f>ABS(H8*I8*$S$1)</f>
        <v>400</v>
      </c>
      <c r="N8" s="12">
        <f>H8*I8+M8</f>
        <v>-799600</v>
      </c>
      <c r="O8" s="12"/>
      <c r="P8" s="12"/>
    </row>
    <row r="9" spans="1:19" s="4" customFormat="1" x14ac:dyDescent="0.15">
      <c r="A9" s="12">
        <v>105</v>
      </c>
      <c r="B9" s="12" t="s">
        <v>15</v>
      </c>
      <c r="C9" s="13">
        <v>43633</v>
      </c>
      <c r="D9" s="12" t="s">
        <v>10</v>
      </c>
      <c r="E9" s="12" t="s">
        <v>22</v>
      </c>
      <c r="F9" s="12" t="s">
        <v>27</v>
      </c>
      <c r="G9" s="12" t="s">
        <v>21</v>
      </c>
      <c r="H9" s="12">
        <v>3900</v>
      </c>
      <c r="I9" s="12">
        <v>30</v>
      </c>
      <c r="J9" s="12">
        <f t="shared" ref="J9:J11" si="0">I9*$S$2</f>
        <v>120750</v>
      </c>
      <c r="K9" s="12"/>
      <c r="L9" s="12"/>
      <c r="M9" s="12">
        <f t="shared" ref="M9:M11" si="1">H9*I9*$S$1</f>
        <v>58.5</v>
      </c>
      <c r="N9" s="12">
        <f>H9*I9+M9</f>
        <v>117058.5</v>
      </c>
      <c r="O9" s="12"/>
      <c r="P9" s="12"/>
    </row>
    <row r="10" spans="1:19" s="4" customFormat="1" x14ac:dyDescent="0.15">
      <c r="A10" s="12">
        <v>106</v>
      </c>
      <c r="B10" s="12" t="s">
        <v>15</v>
      </c>
      <c r="C10" s="13">
        <v>43633</v>
      </c>
      <c r="D10" s="12" t="s">
        <v>10</v>
      </c>
      <c r="E10" s="12" t="s">
        <v>22</v>
      </c>
      <c r="F10" s="12" t="s">
        <v>27</v>
      </c>
      <c r="G10" s="12" t="s">
        <v>21</v>
      </c>
      <c r="H10" s="12">
        <v>3800</v>
      </c>
      <c r="I10" s="12">
        <v>50</v>
      </c>
      <c r="J10" s="12">
        <f t="shared" si="0"/>
        <v>201250</v>
      </c>
      <c r="K10" s="12"/>
      <c r="L10" s="12"/>
      <c r="M10" s="12">
        <f t="shared" si="1"/>
        <v>95</v>
      </c>
      <c r="N10" s="12">
        <f>H10*I10+M10</f>
        <v>190095</v>
      </c>
      <c r="O10" s="12"/>
      <c r="P10" s="12"/>
    </row>
    <row r="11" spans="1:19" s="4" customFormat="1" x14ac:dyDescent="0.15">
      <c r="A11" s="12">
        <v>107</v>
      </c>
      <c r="B11" s="12" t="s">
        <v>15</v>
      </c>
      <c r="C11" s="13">
        <v>43633</v>
      </c>
      <c r="D11" s="12" t="s">
        <v>10</v>
      </c>
      <c r="E11" s="12" t="s">
        <v>22</v>
      </c>
      <c r="F11" s="12" t="s">
        <v>27</v>
      </c>
      <c r="G11" s="12" t="s">
        <v>21</v>
      </c>
      <c r="H11" s="12">
        <v>4050</v>
      </c>
      <c r="I11" s="12">
        <v>150</v>
      </c>
      <c r="J11" s="12">
        <f t="shared" si="0"/>
        <v>603750</v>
      </c>
      <c r="K11" s="12"/>
      <c r="L11" s="12"/>
      <c r="M11" s="12">
        <f t="shared" si="1"/>
        <v>303.75</v>
      </c>
      <c r="N11" s="12">
        <f>H11*I11+M11</f>
        <v>607803.75</v>
      </c>
      <c r="O11" s="12"/>
      <c r="P11" s="12"/>
    </row>
    <row r="13" spans="1:19" s="5" customFormat="1" x14ac:dyDescent="0.15">
      <c r="A13" s="14" t="s">
        <v>42</v>
      </c>
      <c r="B13" s="14" t="s">
        <v>6</v>
      </c>
      <c r="C13" s="15">
        <v>43633</v>
      </c>
      <c r="D13" s="14" t="s">
        <v>11</v>
      </c>
      <c r="E13" s="14" t="s">
        <v>22</v>
      </c>
      <c r="F13" s="14"/>
      <c r="G13" s="14" t="s">
        <v>14</v>
      </c>
      <c r="H13" s="14">
        <f>J13/I13</f>
        <v>4025</v>
      </c>
      <c r="I13" s="14">
        <f>I4+I5+I6-I7</f>
        <v>1180</v>
      </c>
      <c r="J13" s="14">
        <f>SUM(J4:J7)</f>
        <v>4749500</v>
      </c>
      <c r="K13" s="14">
        <f>J13-J2-(N5+N6+N7)</f>
        <v>-3223.9749999999767</v>
      </c>
      <c r="L13" s="14">
        <f>L2+K13</f>
        <v>44280.775000000023</v>
      </c>
      <c r="M13" s="14">
        <f>SUM(M5:M12)</f>
        <v>1731.2249999999999</v>
      </c>
      <c r="N13" s="14">
        <f>SUM(N4:N7)</f>
        <v>4705219.2250000006</v>
      </c>
      <c r="O13" s="14"/>
      <c r="P13" s="14"/>
    </row>
    <row r="14" spans="1:19" s="6" customFormat="1" x14ac:dyDescent="0.15">
      <c r="A14" s="16" t="s">
        <v>56</v>
      </c>
      <c r="B14" s="16" t="s">
        <v>6</v>
      </c>
      <c r="C14" s="17">
        <v>43633</v>
      </c>
      <c r="D14" s="16" t="s">
        <v>11</v>
      </c>
      <c r="E14" s="16" t="s">
        <v>22</v>
      </c>
      <c r="F14" s="16"/>
      <c r="G14" s="16" t="s">
        <v>21</v>
      </c>
      <c r="H14" s="16">
        <f>J14/I14</f>
        <v>4025</v>
      </c>
      <c r="I14" s="16">
        <f>SUM(I8:I11)</f>
        <v>30</v>
      </c>
      <c r="J14" s="16">
        <f>SUM(J8:J11)</f>
        <v>120750</v>
      </c>
      <c r="K14" s="16">
        <f>J14-N14</f>
        <v>5392.75</v>
      </c>
      <c r="L14" s="16">
        <f>K14</f>
        <v>5392.75</v>
      </c>
      <c r="M14" s="16">
        <f>SUM(M8:M11)</f>
        <v>857.25</v>
      </c>
      <c r="N14" s="16">
        <f>SUM(N8:N11)</f>
        <v>115357.25</v>
      </c>
      <c r="O14" s="16"/>
      <c r="P14" s="1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F1" workbookViewId="0">
      <selection activeCell="L60" sqref="L60"/>
    </sheetView>
  </sheetViews>
  <sheetFormatPr defaultRowHeight="13.5" x14ac:dyDescent="0.15"/>
  <cols>
    <col min="1" max="1" width="27.625" bestFit="1" customWidth="1"/>
    <col min="3" max="3" width="19.25" bestFit="1" customWidth="1"/>
    <col min="4" max="4" width="14.625" bestFit="1" customWidth="1"/>
    <col min="5" max="5" width="19" bestFit="1" customWidth="1"/>
    <col min="6" max="6" width="10.5" customWidth="1"/>
    <col min="10" max="10" width="11.625" bestFit="1" customWidth="1"/>
    <col min="11" max="11" width="11.75" bestFit="1" customWidth="1"/>
    <col min="12" max="12" width="11.875" bestFit="1" customWidth="1"/>
    <col min="14" max="14" width="10.125" customWidth="1"/>
    <col min="17" max="17" width="11.125" bestFit="1" customWidth="1"/>
  </cols>
  <sheetData>
    <row r="1" spans="1:22" ht="15" x14ac:dyDescent="0.15">
      <c r="A1" s="7" t="s">
        <v>41</v>
      </c>
      <c r="B1" s="7" t="s">
        <v>5</v>
      </c>
      <c r="C1" s="7" t="s">
        <v>3</v>
      </c>
      <c r="D1" s="7" t="s">
        <v>7</v>
      </c>
      <c r="E1" s="7" t="s">
        <v>29</v>
      </c>
      <c r="F1" s="7" t="s">
        <v>13</v>
      </c>
      <c r="G1" s="7" t="s">
        <v>16</v>
      </c>
      <c r="H1" s="7" t="s">
        <v>36</v>
      </c>
      <c r="I1" s="7" t="s">
        <v>37</v>
      </c>
      <c r="J1" s="7" t="s">
        <v>43</v>
      </c>
      <c r="K1" s="7" t="s">
        <v>12</v>
      </c>
      <c r="L1" s="7" t="s">
        <v>54</v>
      </c>
      <c r="M1" s="7" t="s">
        <v>8</v>
      </c>
      <c r="N1" s="7" t="s">
        <v>0</v>
      </c>
      <c r="O1" s="7" t="s">
        <v>1</v>
      </c>
      <c r="P1" s="7" t="s">
        <v>2</v>
      </c>
      <c r="Q1" s="7" t="s">
        <v>18</v>
      </c>
      <c r="R1" s="7" t="s">
        <v>9</v>
      </c>
      <c r="S1" s="7" t="s">
        <v>52</v>
      </c>
      <c r="U1" s="1" t="s">
        <v>53</v>
      </c>
      <c r="V1" s="1">
        <v>4025</v>
      </c>
    </row>
    <row r="2" spans="1:22" ht="15" x14ac:dyDescent="0.15">
      <c r="A2" s="8">
        <v>201</v>
      </c>
      <c r="B2" s="8" t="s">
        <v>28</v>
      </c>
      <c r="C2" s="9">
        <v>43633</v>
      </c>
      <c r="D2" s="8" t="s">
        <v>30</v>
      </c>
      <c r="E2" s="8" t="s">
        <v>31</v>
      </c>
      <c r="F2" s="8" t="s">
        <v>35</v>
      </c>
      <c r="G2" s="8" t="s">
        <v>44</v>
      </c>
      <c r="H2" s="8" t="s">
        <v>38</v>
      </c>
      <c r="I2" s="8">
        <v>4000</v>
      </c>
      <c r="J2" s="9">
        <v>43658</v>
      </c>
      <c r="K2" s="8"/>
      <c r="L2" s="8">
        <v>50</v>
      </c>
      <c r="M2" s="8">
        <v>160</v>
      </c>
      <c r="N2" s="8">
        <v>9366.5350999999991</v>
      </c>
      <c r="O2" s="8">
        <f>N2-L2*M2</f>
        <v>1366.5350999999991</v>
      </c>
      <c r="P2" s="8"/>
      <c r="Q2" s="8"/>
      <c r="R2" s="8">
        <f>L2*M2</f>
        <v>8000</v>
      </c>
      <c r="S2" s="8">
        <v>0.1</v>
      </c>
    </row>
    <row r="3" spans="1:22" ht="15" x14ac:dyDescent="0.15">
      <c r="A3" s="8">
        <v>202</v>
      </c>
      <c r="B3" s="8" t="s">
        <v>28</v>
      </c>
      <c r="C3" s="9">
        <v>43633</v>
      </c>
      <c r="D3" s="8" t="s">
        <v>30</v>
      </c>
      <c r="E3" s="8" t="s">
        <v>31</v>
      </c>
      <c r="F3" s="8" t="s">
        <v>35</v>
      </c>
      <c r="G3" s="8" t="s">
        <v>45</v>
      </c>
      <c r="H3" s="8" t="s">
        <v>38</v>
      </c>
      <c r="I3" s="8">
        <v>4000</v>
      </c>
      <c r="J3" s="9">
        <v>43658</v>
      </c>
      <c r="K3" s="8"/>
      <c r="L3" s="8">
        <v>60</v>
      </c>
      <c r="M3" s="8">
        <v>100</v>
      </c>
      <c r="N3" s="8">
        <v>5854.0843999999997</v>
      </c>
      <c r="O3" s="8">
        <f>L3*M3-N3</f>
        <v>145.91560000000027</v>
      </c>
      <c r="P3" s="8"/>
      <c r="Q3" s="8"/>
      <c r="R3" s="8">
        <f>L3*M3</f>
        <v>6000</v>
      </c>
      <c r="S3" s="8">
        <v>0.1</v>
      </c>
    </row>
    <row r="4" spans="1:22" ht="15" x14ac:dyDescent="0.15">
      <c r="A4" s="8">
        <v>203</v>
      </c>
      <c r="B4" s="8" t="s">
        <v>28</v>
      </c>
      <c r="C4" s="9">
        <v>43633</v>
      </c>
      <c r="D4" s="8" t="s">
        <v>10</v>
      </c>
      <c r="E4" s="8" t="s">
        <v>32</v>
      </c>
      <c r="F4" s="8" t="s">
        <v>35</v>
      </c>
      <c r="G4" s="8" t="s">
        <v>46</v>
      </c>
      <c r="H4" s="8" t="s">
        <v>38</v>
      </c>
      <c r="I4" s="8">
        <v>3950</v>
      </c>
      <c r="J4" s="9">
        <v>43658</v>
      </c>
      <c r="K4" s="8"/>
      <c r="L4" s="8">
        <v>70</v>
      </c>
      <c r="M4" s="8">
        <v>70</v>
      </c>
      <c r="N4" s="8">
        <v>6446.5086000000001</v>
      </c>
      <c r="O4" s="8">
        <f>N4-L4*M4</f>
        <v>1546.5086000000001</v>
      </c>
      <c r="P4" s="8"/>
      <c r="Q4" s="8"/>
      <c r="R4" s="8">
        <f t="shared" ref="R4:R6" si="0">L4*M4</f>
        <v>4900</v>
      </c>
      <c r="S4" s="8">
        <v>0.10100000000000001</v>
      </c>
    </row>
    <row r="5" spans="1:22" ht="15" x14ac:dyDescent="0.15">
      <c r="A5" s="8">
        <v>204</v>
      </c>
      <c r="B5" s="8" t="s">
        <v>28</v>
      </c>
      <c r="C5" s="9">
        <v>43633</v>
      </c>
      <c r="D5" s="8" t="s">
        <v>10</v>
      </c>
      <c r="E5" s="8" t="s">
        <v>33</v>
      </c>
      <c r="F5" s="8" t="s">
        <v>35</v>
      </c>
      <c r="G5" s="8" t="s">
        <v>47</v>
      </c>
      <c r="H5" s="8" t="s">
        <v>39</v>
      </c>
      <c r="I5" s="8">
        <v>4100</v>
      </c>
      <c r="J5" s="9">
        <v>43658</v>
      </c>
      <c r="K5" s="8"/>
      <c r="L5" s="8">
        <v>80</v>
      </c>
      <c r="M5" s="8">
        <v>-80</v>
      </c>
      <c r="N5" s="8">
        <v>-7451.7825000000003</v>
      </c>
      <c r="O5" s="8">
        <f t="shared" ref="O5:O6" si="1">N5-L5*M5</f>
        <v>-1051.7825000000003</v>
      </c>
      <c r="P5" s="8"/>
      <c r="Q5" s="8"/>
      <c r="R5" s="8">
        <f t="shared" si="0"/>
        <v>-6400</v>
      </c>
      <c r="S5" s="8">
        <v>0.10199999999999999</v>
      </c>
    </row>
    <row r="6" spans="1:22" ht="15" x14ac:dyDescent="0.15">
      <c r="A6" s="8">
        <v>205</v>
      </c>
      <c r="B6" s="8" t="s">
        <v>28</v>
      </c>
      <c r="C6" s="9">
        <v>43633</v>
      </c>
      <c r="D6" s="8" t="s">
        <v>10</v>
      </c>
      <c r="E6" s="8" t="s">
        <v>34</v>
      </c>
      <c r="F6" s="8" t="s">
        <v>35</v>
      </c>
      <c r="G6" s="8" t="s">
        <v>47</v>
      </c>
      <c r="H6" s="8" t="s">
        <v>39</v>
      </c>
      <c r="I6" s="8">
        <v>4200</v>
      </c>
      <c r="J6" s="9">
        <v>43658</v>
      </c>
      <c r="K6" s="8"/>
      <c r="L6" s="8">
        <v>140</v>
      </c>
      <c r="M6" s="8">
        <v>-60</v>
      </c>
      <c r="N6" s="8">
        <v>-10704.1875</v>
      </c>
      <c r="O6" s="8">
        <f t="shared" si="1"/>
        <v>-2304.1875</v>
      </c>
      <c r="P6" s="8"/>
      <c r="Q6" s="8"/>
      <c r="R6" s="8">
        <f t="shared" si="0"/>
        <v>-8400</v>
      </c>
      <c r="S6" s="8">
        <v>0.10299999999999999</v>
      </c>
    </row>
    <row r="7" spans="1:22" ht="15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22" ht="15" x14ac:dyDescent="0.15">
      <c r="A8" s="8" t="s">
        <v>48</v>
      </c>
      <c r="B8" s="8" t="s">
        <v>40</v>
      </c>
      <c r="C8" s="9">
        <v>43633</v>
      </c>
      <c r="D8" s="8" t="s">
        <v>10</v>
      </c>
      <c r="E8" s="8" t="s">
        <v>31</v>
      </c>
      <c r="F8" s="8"/>
      <c r="G8" s="8"/>
      <c r="H8" s="8"/>
      <c r="I8" s="8"/>
      <c r="J8" s="8"/>
      <c r="K8" s="8"/>
      <c r="L8" s="8"/>
      <c r="M8" s="8">
        <f>M2-M3</f>
        <v>60</v>
      </c>
      <c r="N8" s="8">
        <f>N2-N3</f>
        <v>3512.4506999999994</v>
      </c>
      <c r="O8" s="8">
        <f>O2+O3</f>
        <v>1512.4506999999994</v>
      </c>
      <c r="P8" s="8">
        <f>O8</f>
        <v>1512.4506999999994</v>
      </c>
      <c r="Q8" s="8"/>
      <c r="R8" s="8">
        <f>R2-R3</f>
        <v>2000</v>
      </c>
    </row>
    <row r="9" spans="1:22" ht="15" x14ac:dyDescent="0.15">
      <c r="A9" s="8" t="s">
        <v>49</v>
      </c>
      <c r="B9" s="8" t="s">
        <v>40</v>
      </c>
      <c r="C9" s="9">
        <v>43633</v>
      </c>
      <c r="D9" s="8" t="s">
        <v>10</v>
      </c>
      <c r="E9" s="8" t="s">
        <v>32</v>
      </c>
      <c r="F9" s="8"/>
      <c r="G9" s="8"/>
      <c r="H9" s="8"/>
      <c r="I9" s="8"/>
      <c r="J9" s="8"/>
      <c r="K9" s="8"/>
      <c r="L9" s="8"/>
      <c r="M9" s="8">
        <f>M4</f>
        <v>70</v>
      </c>
      <c r="N9" s="8">
        <f>N4</f>
        <v>6446.5086000000001</v>
      </c>
      <c r="O9" s="8">
        <f>O4</f>
        <v>1546.5086000000001</v>
      </c>
      <c r="P9" s="8">
        <f t="shared" ref="P9:P11" si="2">O9</f>
        <v>1546.5086000000001</v>
      </c>
      <c r="Q9" s="8"/>
      <c r="R9" s="8">
        <f>R4</f>
        <v>4900</v>
      </c>
    </row>
    <row r="10" spans="1:22" ht="15" x14ac:dyDescent="0.15">
      <c r="A10" s="8" t="s">
        <v>50</v>
      </c>
      <c r="B10" s="8" t="s">
        <v>40</v>
      </c>
      <c r="C10" s="9">
        <v>43633</v>
      </c>
      <c r="D10" s="8" t="s">
        <v>10</v>
      </c>
      <c r="E10" s="8" t="s">
        <v>33</v>
      </c>
      <c r="M10" s="8">
        <f t="shared" ref="M10:O11" si="3">M5</f>
        <v>-80</v>
      </c>
      <c r="N10" s="8">
        <f t="shared" si="3"/>
        <v>-7451.7825000000003</v>
      </c>
      <c r="O10" s="8">
        <f t="shared" si="3"/>
        <v>-1051.7825000000003</v>
      </c>
      <c r="P10" s="8">
        <f t="shared" si="2"/>
        <v>-1051.7825000000003</v>
      </c>
      <c r="R10" s="8">
        <f t="shared" ref="R10:R11" si="4">R5</f>
        <v>-6400</v>
      </c>
    </row>
    <row r="11" spans="1:22" ht="15" x14ac:dyDescent="0.15">
      <c r="A11" s="8" t="s">
        <v>51</v>
      </c>
      <c r="B11" s="8" t="s">
        <v>40</v>
      </c>
      <c r="C11" s="9">
        <v>43633</v>
      </c>
      <c r="D11" s="8" t="s">
        <v>10</v>
      </c>
      <c r="E11" s="8" t="s">
        <v>34</v>
      </c>
      <c r="M11" s="8">
        <f t="shared" si="3"/>
        <v>-60</v>
      </c>
      <c r="N11" s="8">
        <f t="shared" si="3"/>
        <v>-10704.1875</v>
      </c>
      <c r="O11" s="8">
        <f t="shared" si="3"/>
        <v>-2304.1875</v>
      </c>
      <c r="P11" s="8">
        <f t="shared" si="2"/>
        <v>-2304.1875</v>
      </c>
      <c r="R11" s="8">
        <f t="shared" si="4"/>
        <v>-8400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opLeftCell="G1" workbookViewId="0">
      <selection activeCell="N16" sqref="N16"/>
    </sheetView>
  </sheetViews>
  <sheetFormatPr defaultRowHeight="15" x14ac:dyDescent="0.15"/>
  <cols>
    <col min="1" max="1" width="22.625" style="8" bestFit="1" customWidth="1"/>
    <col min="2" max="2" width="9" style="8"/>
    <col min="3" max="3" width="23.125" style="8" customWidth="1"/>
    <col min="4" max="4" width="18.25" style="8" bestFit="1" customWidth="1"/>
    <col min="5" max="5" width="12" style="8" bestFit="1" customWidth="1"/>
    <col min="6" max="6" width="9.625" style="8" bestFit="1" customWidth="1"/>
    <col min="7" max="8" width="15.75" style="8" bestFit="1" customWidth="1"/>
    <col min="9" max="9" width="8.5" style="8" bestFit="1" customWidth="1"/>
    <col min="10" max="10" width="10.5" style="8" bestFit="1" customWidth="1"/>
    <col min="11" max="11" width="15.25" style="8" customWidth="1"/>
    <col min="12" max="12" width="14.125" style="8" customWidth="1"/>
    <col min="13" max="13" width="13.875" style="8" customWidth="1"/>
    <col min="14" max="14" width="11.125" style="8" customWidth="1"/>
    <col min="15" max="15" width="13.25" style="8" bestFit="1" customWidth="1"/>
    <col min="16" max="16" width="11.125" style="8" customWidth="1"/>
    <col min="17" max="17" width="13.25" customWidth="1"/>
  </cols>
  <sheetData>
    <row r="1" spans="1:19" x14ac:dyDescent="0.15">
      <c r="A1" s="7" t="s">
        <v>41</v>
      </c>
      <c r="B1" s="7" t="s">
        <v>5</v>
      </c>
      <c r="C1" s="7" t="s">
        <v>3</v>
      </c>
      <c r="D1" s="7" t="s">
        <v>7</v>
      </c>
      <c r="E1" s="7" t="s">
        <v>13</v>
      </c>
      <c r="F1" s="7" t="s">
        <v>16</v>
      </c>
      <c r="G1" s="7" t="s">
        <v>12</v>
      </c>
      <c r="H1" s="7" t="s">
        <v>4</v>
      </c>
      <c r="I1" s="7" t="s">
        <v>8</v>
      </c>
      <c r="J1" s="7" t="s">
        <v>0</v>
      </c>
      <c r="K1" s="7" t="s">
        <v>1</v>
      </c>
      <c r="L1" s="7" t="s">
        <v>2</v>
      </c>
      <c r="M1" s="7" t="s">
        <v>18</v>
      </c>
      <c r="N1" s="7" t="s">
        <v>9</v>
      </c>
      <c r="O1" s="7" t="s">
        <v>19</v>
      </c>
      <c r="P1" s="7" t="s">
        <v>20</v>
      </c>
      <c r="Q1" s="1"/>
      <c r="R1" s="1" t="s">
        <v>17</v>
      </c>
      <c r="S1" s="1">
        <v>1.4999999999999999E-4</v>
      </c>
    </row>
    <row r="2" spans="1:19" x14ac:dyDescent="0.15">
      <c r="B2" s="8" t="s">
        <v>6</v>
      </c>
      <c r="C2" s="9">
        <v>43630</v>
      </c>
      <c r="D2" s="8" t="s">
        <v>55</v>
      </c>
      <c r="E2" s="8" t="s">
        <v>22</v>
      </c>
      <c r="F2" s="8" t="s">
        <v>23</v>
      </c>
      <c r="G2" s="8" t="s">
        <v>14</v>
      </c>
      <c r="H2" s="8">
        <v>4250</v>
      </c>
      <c r="I2" s="8">
        <v>1500</v>
      </c>
      <c r="J2" s="8">
        <v>6778500</v>
      </c>
      <c r="K2" s="8">
        <v>13500</v>
      </c>
      <c r="L2" s="8">
        <v>402543.75</v>
      </c>
      <c r="N2" s="8">
        <v>6375956.25</v>
      </c>
      <c r="R2" s="1" t="s">
        <v>53</v>
      </c>
      <c r="S2" s="1">
        <v>4477</v>
      </c>
    </row>
    <row r="3" spans="1:19" x14ac:dyDescent="0.15">
      <c r="B3" s="8" t="s">
        <v>6</v>
      </c>
      <c r="C3" s="9">
        <v>43630</v>
      </c>
      <c r="D3" s="8" t="s">
        <v>55</v>
      </c>
      <c r="E3" s="8" t="s">
        <v>22</v>
      </c>
      <c r="F3" s="18" t="s">
        <v>57</v>
      </c>
      <c r="G3" s="8" t="s">
        <v>58</v>
      </c>
      <c r="H3" s="8">
        <v>4180</v>
      </c>
      <c r="I3" s="8">
        <v>-800</v>
      </c>
      <c r="J3" s="8">
        <v>-3615200</v>
      </c>
      <c r="K3" s="8">
        <v>-7200</v>
      </c>
      <c r="L3" s="8">
        <v>-271701.59999999998</v>
      </c>
      <c r="N3" s="8">
        <v>-3343498.4</v>
      </c>
      <c r="R3" s="1"/>
      <c r="S3" s="1"/>
    </row>
    <row r="4" spans="1:19" x14ac:dyDescent="0.15">
      <c r="C4" s="9"/>
      <c r="R4" s="1"/>
      <c r="S4" s="1"/>
    </row>
    <row r="5" spans="1:19" x14ac:dyDescent="0.15">
      <c r="A5" s="10"/>
      <c r="B5" s="10" t="s">
        <v>6</v>
      </c>
      <c r="C5" s="11">
        <v>43633</v>
      </c>
      <c r="D5" s="10" t="s">
        <v>55</v>
      </c>
      <c r="E5" s="10" t="s">
        <v>22</v>
      </c>
      <c r="F5" s="10"/>
      <c r="G5" s="10" t="s">
        <v>14</v>
      </c>
      <c r="H5" s="10">
        <v>4250</v>
      </c>
      <c r="I5" s="10">
        <v>1500</v>
      </c>
      <c r="J5" s="10">
        <f>I5*$S$2</f>
        <v>6715500</v>
      </c>
      <c r="K5" s="10">
        <f>J5-J2</f>
        <v>-63000</v>
      </c>
      <c r="L5" s="10">
        <f>L2+K5</f>
        <v>339543.75</v>
      </c>
      <c r="M5" s="10"/>
      <c r="N5" s="10">
        <f>N2</f>
        <v>6375956.25</v>
      </c>
      <c r="O5" s="10"/>
      <c r="P5" s="10"/>
      <c r="Q5" s="2"/>
      <c r="R5" s="3"/>
      <c r="S5" s="3"/>
    </row>
    <row r="6" spans="1:19" x14ac:dyDescent="0.15">
      <c r="A6" s="10">
        <v>1101</v>
      </c>
      <c r="B6" s="10" t="s">
        <v>15</v>
      </c>
      <c r="C6" s="11">
        <v>43633</v>
      </c>
      <c r="D6" s="10" t="s">
        <v>55</v>
      </c>
      <c r="E6" s="10" t="s">
        <v>22</v>
      </c>
      <c r="F6" s="10" t="s">
        <v>25</v>
      </c>
      <c r="G6" s="10" t="s">
        <v>14</v>
      </c>
      <c r="H6" s="10">
        <v>4400</v>
      </c>
      <c r="I6" s="10">
        <v>500</v>
      </c>
      <c r="J6" s="10">
        <f>-I6*$S$2</f>
        <v>-2238500</v>
      </c>
      <c r="K6" s="10"/>
      <c r="L6" s="10"/>
      <c r="M6" s="10">
        <f>H6*I6*$S$1</f>
        <v>329.99999999999994</v>
      </c>
      <c r="N6" s="10">
        <f>-H6*I6+M6</f>
        <v>-2199670</v>
      </c>
      <c r="O6" s="10"/>
      <c r="P6" s="10"/>
      <c r="Q6" s="2"/>
      <c r="R6" s="2"/>
      <c r="S6" s="2"/>
    </row>
    <row r="7" spans="1:19" x14ac:dyDescent="0.15">
      <c r="A7" s="10">
        <v>1102</v>
      </c>
      <c r="B7" s="10" t="s">
        <v>15</v>
      </c>
      <c r="C7" s="11">
        <v>43633</v>
      </c>
      <c r="D7" s="10" t="s">
        <v>55</v>
      </c>
      <c r="E7" s="10" t="s">
        <v>22</v>
      </c>
      <c r="F7" s="10" t="s">
        <v>24</v>
      </c>
      <c r="G7" s="10" t="s">
        <v>14</v>
      </c>
      <c r="H7" s="10">
        <v>4390</v>
      </c>
      <c r="I7" s="10">
        <v>150</v>
      </c>
      <c r="J7" s="10">
        <f>I7*$S$2</f>
        <v>671550</v>
      </c>
      <c r="K7" s="10">
        <f>J7-N7</f>
        <v>12951.224999999977</v>
      </c>
      <c r="L7" s="10">
        <f>K7</f>
        <v>12951.224999999977</v>
      </c>
      <c r="M7" s="10">
        <f>H7*I7*$S$1</f>
        <v>98.774999999999991</v>
      </c>
      <c r="N7" s="10">
        <f>H7*I7+M7</f>
        <v>658598.77500000002</v>
      </c>
      <c r="O7" s="10"/>
      <c r="P7" s="10"/>
      <c r="Q7" s="2"/>
      <c r="R7" s="2"/>
      <c r="S7" s="2"/>
    </row>
    <row r="8" spans="1:19" x14ac:dyDescent="0.15">
      <c r="A8" s="10">
        <v>1103</v>
      </c>
      <c r="B8" s="10" t="s">
        <v>15</v>
      </c>
      <c r="C8" s="11">
        <v>43633</v>
      </c>
      <c r="D8" s="10" t="s">
        <v>55</v>
      </c>
      <c r="E8" s="10" t="s">
        <v>22</v>
      </c>
      <c r="F8" s="10" t="s">
        <v>24</v>
      </c>
      <c r="G8" s="10" t="s">
        <v>14</v>
      </c>
      <c r="H8" s="10">
        <v>4450</v>
      </c>
      <c r="I8" s="10">
        <v>110</v>
      </c>
      <c r="J8" s="10">
        <f>I8*$S$2</f>
        <v>492470</v>
      </c>
      <c r="K8" s="10">
        <f>J8-N8</f>
        <v>2896.5750000000116</v>
      </c>
      <c r="L8" s="10">
        <f>K8</f>
        <v>2896.5750000000116</v>
      </c>
      <c r="M8" s="10">
        <f>H8*I8*$S$1</f>
        <v>73.424999999999997</v>
      </c>
      <c r="N8" s="10">
        <f>H8*I8+M8</f>
        <v>489573.42499999999</v>
      </c>
      <c r="O8" s="10"/>
      <c r="P8" s="10"/>
      <c r="Q8" s="2"/>
      <c r="R8" s="2"/>
      <c r="S8" s="2"/>
    </row>
    <row r="9" spans="1:19" s="4" customFormat="1" x14ac:dyDescent="0.15">
      <c r="A9" s="12"/>
      <c r="B9" s="12" t="s">
        <v>59</v>
      </c>
      <c r="C9" s="13">
        <v>43633</v>
      </c>
      <c r="D9" s="12" t="s">
        <v>55</v>
      </c>
      <c r="E9" s="12" t="s">
        <v>22</v>
      </c>
      <c r="F9" s="12"/>
      <c r="G9" s="12" t="s">
        <v>21</v>
      </c>
      <c r="H9" s="12">
        <v>4180</v>
      </c>
      <c r="I9" s="12">
        <f>I3</f>
        <v>-800</v>
      </c>
      <c r="J9" s="12">
        <f>I9*$S$2</f>
        <v>-3581600</v>
      </c>
      <c r="K9" s="12">
        <f>J3-J9</f>
        <v>-33600</v>
      </c>
      <c r="L9" s="12">
        <f>K9+L3</f>
        <v>-305301.59999999998</v>
      </c>
      <c r="M9" s="12"/>
      <c r="N9" s="12">
        <f>N3</f>
        <v>-3343498.4</v>
      </c>
      <c r="O9" s="12"/>
      <c r="P9" s="12"/>
    </row>
    <row r="10" spans="1:19" x14ac:dyDescent="0.15">
      <c r="A10" s="12">
        <v>1104</v>
      </c>
      <c r="B10" s="12" t="s">
        <v>15</v>
      </c>
      <c r="C10" s="13">
        <v>43633</v>
      </c>
      <c r="D10" s="12" t="s">
        <v>55</v>
      </c>
      <c r="E10" s="12" t="s">
        <v>22</v>
      </c>
      <c r="F10" s="12" t="s">
        <v>27</v>
      </c>
      <c r="G10" s="12" t="s">
        <v>21</v>
      </c>
      <c r="H10" s="12">
        <v>3900</v>
      </c>
      <c r="I10" s="12">
        <v>300</v>
      </c>
      <c r="J10" s="12">
        <f t="shared" ref="J10:J12" si="0">I10*$S$2</f>
        <v>1343100</v>
      </c>
      <c r="K10" s="12"/>
      <c r="L10" s="12"/>
      <c r="M10" s="12">
        <f t="shared" ref="M10:M12" si="1">H10*I10*$S$1</f>
        <v>175.49999999999997</v>
      </c>
      <c r="N10" s="12">
        <f>H10*I10+M10</f>
        <v>1170175.5</v>
      </c>
      <c r="O10" s="12"/>
      <c r="P10" s="12"/>
      <c r="Q10" s="4"/>
      <c r="R10" s="4"/>
      <c r="S10" s="4"/>
    </row>
    <row r="11" spans="1:19" x14ac:dyDescent="0.15">
      <c r="A11" s="12">
        <v>1105</v>
      </c>
      <c r="B11" s="12" t="s">
        <v>15</v>
      </c>
      <c r="C11" s="13">
        <v>43633</v>
      </c>
      <c r="D11" s="12" t="s">
        <v>55</v>
      </c>
      <c r="E11" s="12" t="s">
        <v>22</v>
      </c>
      <c r="F11" s="12" t="s">
        <v>27</v>
      </c>
      <c r="G11" s="12" t="s">
        <v>21</v>
      </c>
      <c r="H11" s="12">
        <v>3800</v>
      </c>
      <c r="I11" s="12">
        <v>200</v>
      </c>
      <c r="J11" s="12">
        <f t="shared" si="0"/>
        <v>895400</v>
      </c>
      <c r="K11" s="12"/>
      <c r="L11" s="12"/>
      <c r="M11" s="12">
        <f t="shared" si="1"/>
        <v>113.99999999999999</v>
      </c>
      <c r="N11" s="12">
        <f>H11*I11+M11</f>
        <v>760114</v>
      </c>
      <c r="O11" s="12"/>
      <c r="P11" s="12"/>
      <c r="Q11" s="4"/>
      <c r="R11" s="4"/>
      <c r="S11" s="4"/>
    </row>
    <row r="12" spans="1:19" x14ac:dyDescent="0.15">
      <c r="A12" s="12">
        <v>1106</v>
      </c>
      <c r="B12" s="12" t="s">
        <v>15</v>
      </c>
      <c r="C12" s="13">
        <v>43633</v>
      </c>
      <c r="D12" s="12" t="s">
        <v>55</v>
      </c>
      <c r="E12" s="12" t="s">
        <v>22</v>
      </c>
      <c r="F12" s="12" t="s">
        <v>27</v>
      </c>
      <c r="G12" s="12" t="s">
        <v>21</v>
      </c>
      <c r="H12" s="12">
        <v>4050</v>
      </c>
      <c r="I12" s="12">
        <v>400</v>
      </c>
      <c r="J12" s="12">
        <f t="shared" si="0"/>
        <v>1790800</v>
      </c>
      <c r="K12" s="12"/>
      <c r="L12" s="12"/>
      <c r="M12" s="12">
        <f t="shared" si="1"/>
        <v>242.99999999999997</v>
      </c>
      <c r="N12" s="12">
        <f>H12*I12+M12</f>
        <v>1620243</v>
      </c>
      <c r="O12" s="12"/>
      <c r="P12" s="12"/>
      <c r="Q12" s="4"/>
      <c r="R12" s="4"/>
      <c r="S12" s="4"/>
    </row>
    <row r="13" spans="1:19" x14ac:dyDescent="0.15">
      <c r="A13" s="12">
        <v>1107</v>
      </c>
      <c r="B13" s="12" t="s">
        <v>15</v>
      </c>
      <c r="C13" s="13">
        <v>43633</v>
      </c>
      <c r="D13" s="12" t="s">
        <v>55</v>
      </c>
      <c r="E13" s="12" t="s">
        <v>22</v>
      </c>
      <c r="F13" s="12" t="s">
        <v>26</v>
      </c>
      <c r="G13" s="12" t="s">
        <v>21</v>
      </c>
      <c r="H13" s="12">
        <v>4000</v>
      </c>
      <c r="I13" s="12">
        <v>-350</v>
      </c>
      <c r="J13" s="12">
        <f>I13*$S$2</f>
        <v>-1566950</v>
      </c>
      <c r="K13" s="12"/>
      <c r="L13" s="12"/>
      <c r="M13" s="12">
        <f>ABS(H13*I13*$S$1)</f>
        <v>209.99999999999997</v>
      </c>
      <c r="N13" s="12">
        <f>H13*I13+M13</f>
        <v>-1399790</v>
      </c>
      <c r="O13" s="12"/>
      <c r="P13" s="12"/>
      <c r="Q13" s="4"/>
      <c r="R13" s="4"/>
      <c r="S13" s="4"/>
    </row>
    <row r="15" spans="1:19" x14ac:dyDescent="0.15">
      <c r="A15" s="14" t="s">
        <v>60</v>
      </c>
      <c r="B15" s="14" t="s">
        <v>6</v>
      </c>
      <c r="C15" s="15">
        <v>43633</v>
      </c>
      <c r="D15" s="14" t="s">
        <v>55</v>
      </c>
      <c r="E15" s="14" t="s">
        <v>22</v>
      </c>
      <c r="F15" s="14"/>
      <c r="G15" s="14" t="s">
        <v>14</v>
      </c>
      <c r="H15" s="14">
        <f>J15/I15</f>
        <v>4477</v>
      </c>
      <c r="I15" s="14">
        <f>I5-I6+I7+I8</f>
        <v>1260</v>
      </c>
      <c r="J15" s="14">
        <f>SUM(J5:J8)</f>
        <v>5641020</v>
      </c>
      <c r="K15" s="14">
        <f>J15-J2-(N6+N7+N8)</f>
        <v>-85982.199999999953</v>
      </c>
      <c r="L15" s="14">
        <f>L2+K15</f>
        <v>316561.55000000005</v>
      </c>
      <c r="M15" s="14">
        <f>SUM(M6:M8)</f>
        <v>502.19999999999993</v>
      </c>
      <c r="N15" s="14">
        <f>SUM(N5:N8)</f>
        <v>5324458.45</v>
      </c>
      <c r="O15" s="14"/>
      <c r="P15" s="14"/>
      <c r="Q15" s="5"/>
      <c r="R15" s="5"/>
      <c r="S15" s="5"/>
    </row>
    <row r="16" spans="1:19" x14ac:dyDescent="0.15">
      <c r="A16" s="16" t="s">
        <v>61</v>
      </c>
      <c r="B16" s="16" t="s">
        <v>6</v>
      </c>
      <c r="C16" s="17">
        <v>43633</v>
      </c>
      <c r="D16" s="16" t="s">
        <v>55</v>
      </c>
      <c r="E16" s="16" t="s">
        <v>22</v>
      </c>
      <c r="F16" s="16"/>
      <c r="G16" s="16" t="s">
        <v>21</v>
      </c>
      <c r="H16" s="16">
        <f>J16/I16</f>
        <v>4477</v>
      </c>
      <c r="I16" s="16">
        <f>SUM(I9:I13)</f>
        <v>-250</v>
      </c>
      <c r="J16" s="16">
        <f>SUM(J9:J13)</f>
        <v>-1119250</v>
      </c>
      <c r="K16" s="16">
        <f>(J16-J3)-(N10+N11+N12+N13)</f>
        <v>345207.5</v>
      </c>
      <c r="L16" s="16">
        <f>K16+L3</f>
        <v>73505.900000000023</v>
      </c>
      <c r="M16" s="16">
        <f>SUM(M10:M13)</f>
        <v>742.49999999999989</v>
      </c>
      <c r="N16" s="16">
        <f>SUM(N9:N13)</f>
        <v>-1192755.8999999999</v>
      </c>
      <c r="O16" s="16"/>
      <c r="P16" s="16"/>
      <c r="Q16" s="6"/>
      <c r="R16" s="6"/>
      <c r="S16" s="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topLeftCell="L1" workbookViewId="0">
      <selection activeCell="R14" sqref="R14"/>
    </sheetView>
  </sheetViews>
  <sheetFormatPr defaultRowHeight="13.5" x14ac:dyDescent="0.15"/>
  <cols>
    <col min="1" max="1" width="27.625" bestFit="1" customWidth="1"/>
    <col min="3" max="3" width="19.25" bestFit="1" customWidth="1"/>
    <col min="4" max="4" width="14.625" bestFit="1" customWidth="1"/>
    <col min="5" max="5" width="19" bestFit="1" customWidth="1"/>
    <col min="6" max="6" width="10.5" customWidth="1"/>
    <col min="10" max="10" width="11.625" bestFit="1" customWidth="1"/>
    <col min="11" max="11" width="11.75" bestFit="1" customWidth="1"/>
    <col min="12" max="12" width="11.875" bestFit="1" customWidth="1"/>
    <col min="14" max="14" width="18.75" bestFit="1" customWidth="1"/>
    <col min="15" max="16" width="18" bestFit="1" customWidth="1"/>
    <col min="17" max="17" width="11.125" bestFit="1" customWidth="1"/>
  </cols>
  <sheetData>
    <row r="1" spans="1:22" ht="15" x14ac:dyDescent="0.15">
      <c r="A1" s="7" t="s">
        <v>41</v>
      </c>
      <c r="B1" s="7" t="s">
        <v>5</v>
      </c>
      <c r="C1" s="7" t="s">
        <v>3</v>
      </c>
      <c r="D1" s="7" t="s">
        <v>7</v>
      </c>
      <c r="E1" s="7" t="s">
        <v>29</v>
      </c>
      <c r="F1" s="7" t="s">
        <v>13</v>
      </c>
      <c r="G1" s="7" t="s">
        <v>16</v>
      </c>
      <c r="H1" s="7" t="s">
        <v>36</v>
      </c>
      <c r="I1" s="7" t="s">
        <v>37</v>
      </c>
      <c r="J1" s="7" t="s">
        <v>43</v>
      </c>
      <c r="K1" s="7" t="s">
        <v>12</v>
      </c>
      <c r="L1" s="7" t="s">
        <v>54</v>
      </c>
      <c r="M1" s="7" t="s">
        <v>8</v>
      </c>
      <c r="N1" s="7" t="s">
        <v>0</v>
      </c>
      <c r="O1" s="7" t="s">
        <v>1</v>
      </c>
      <c r="P1" s="7" t="s">
        <v>2</v>
      </c>
      <c r="Q1" s="7" t="s">
        <v>18</v>
      </c>
      <c r="R1" s="7" t="s">
        <v>9</v>
      </c>
      <c r="S1" s="7" t="s">
        <v>52</v>
      </c>
      <c r="U1" s="1" t="s">
        <v>53</v>
      </c>
      <c r="V1" s="1">
        <v>4477</v>
      </c>
    </row>
    <row r="2" spans="1:22" ht="15" x14ac:dyDescent="0.15">
      <c r="A2" s="7"/>
      <c r="B2" s="8" t="s">
        <v>64</v>
      </c>
      <c r="C2" s="9">
        <v>43630</v>
      </c>
      <c r="D2" s="8" t="s">
        <v>62</v>
      </c>
      <c r="E2" s="8" t="s">
        <v>63</v>
      </c>
      <c r="F2" s="7"/>
      <c r="G2" s="7"/>
      <c r="H2" s="7"/>
      <c r="I2" s="7"/>
      <c r="J2" s="7"/>
      <c r="K2" s="7"/>
      <c r="L2" s="7"/>
      <c r="M2" s="8">
        <v>-100</v>
      </c>
      <c r="N2" s="19">
        <v>-28452.181202118201</v>
      </c>
      <c r="O2" s="19">
        <v>-8452.1812021181995</v>
      </c>
      <c r="P2" s="19">
        <v>-8452.1812021181995</v>
      </c>
      <c r="Q2" s="7"/>
      <c r="R2" s="7">
        <v>-20000</v>
      </c>
      <c r="S2" s="7"/>
      <c r="U2" s="1"/>
      <c r="V2" s="1"/>
    </row>
    <row r="3" spans="1:22" ht="15" x14ac:dyDescent="0.15">
      <c r="A3" s="7"/>
      <c r="B3" s="8" t="s">
        <v>65</v>
      </c>
      <c r="C3" s="9">
        <v>43630</v>
      </c>
      <c r="D3" s="8" t="s">
        <v>62</v>
      </c>
      <c r="E3" s="8" t="s">
        <v>66</v>
      </c>
      <c r="F3" s="7"/>
      <c r="G3" s="7"/>
      <c r="H3" s="7"/>
      <c r="I3" s="7"/>
      <c r="J3" s="7"/>
      <c r="K3" s="7"/>
      <c r="L3" s="7"/>
      <c r="M3" s="8">
        <v>80</v>
      </c>
      <c r="N3" s="19">
        <v>8028.93889155334</v>
      </c>
      <c r="O3" s="19">
        <v>6828.93889155334</v>
      </c>
      <c r="P3" s="19">
        <v>6828.93889155334</v>
      </c>
      <c r="Q3" s="7"/>
      <c r="R3" s="7">
        <v>1200</v>
      </c>
      <c r="S3" s="7"/>
      <c r="U3" s="1"/>
      <c r="V3" s="1"/>
    </row>
    <row r="4" spans="1:22" ht="15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0"/>
      <c r="O4" s="20"/>
      <c r="P4" s="20"/>
      <c r="Q4" s="7"/>
      <c r="R4" s="7"/>
      <c r="S4" s="7"/>
      <c r="U4" s="1"/>
      <c r="V4" s="1"/>
    </row>
    <row r="5" spans="1:22" ht="15" x14ac:dyDescent="0.15">
      <c r="A5" s="8">
        <v>1201</v>
      </c>
      <c r="B5" s="8" t="s">
        <v>15</v>
      </c>
      <c r="C5" s="9">
        <v>43633</v>
      </c>
      <c r="D5" s="8" t="s">
        <v>62</v>
      </c>
      <c r="E5" s="8" t="s">
        <v>63</v>
      </c>
      <c r="F5" s="8" t="s">
        <v>35</v>
      </c>
      <c r="G5" s="8" t="s">
        <v>44</v>
      </c>
      <c r="H5" s="8" t="s">
        <v>38</v>
      </c>
      <c r="I5" s="8">
        <v>4300</v>
      </c>
      <c r="J5" s="9">
        <v>43658</v>
      </c>
      <c r="K5" s="8"/>
      <c r="L5" s="8">
        <v>50</v>
      </c>
      <c r="M5" s="8">
        <v>160</v>
      </c>
      <c r="N5" s="19">
        <v>29066.4902</v>
      </c>
      <c r="O5" s="19">
        <f>N5-L5*M5</f>
        <v>21066.4902</v>
      </c>
      <c r="P5" s="19"/>
      <c r="Q5" s="8"/>
      <c r="R5" s="8">
        <f>L5*M5</f>
        <v>8000</v>
      </c>
      <c r="S5" s="8">
        <v>0.104</v>
      </c>
    </row>
    <row r="6" spans="1:22" ht="15" x14ac:dyDescent="0.15">
      <c r="A6" s="8">
        <v>1202</v>
      </c>
      <c r="B6" s="8" t="s">
        <v>15</v>
      </c>
      <c r="C6" s="9">
        <v>43633</v>
      </c>
      <c r="D6" s="8" t="s">
        <v>62</v>
      </c>
      <c r="E6" s="8" t="s">
        <v>63</v>
      </c>
      <c r="F6" s="8" t="s">
        <v>35</v>
      </c>
      <c r="G6" s="8" t="s">
        <v>67</v>
      </c>
      <c r="H6" s="8" t="s">
        <v>38</v>
      </c>
      <c r="I6" s="8">
        <v>4300</v>
      </c>
      <c r="J6" s="9">
        <v>43658</v>
      </c>
      <c r="K6" s="8"/>
      <c r="L6" s="8">
        <v>60</v>
      </c>
      <c r="M6" s="8">
        <v>80</v>
      </c>
      <c r="N6" s="19">
        <v>14533.2451</v>
      </c>
      <c r="O6" s="19">
        <f>L6*M6-N6</f>
        <v>-9733.2451000000001</v>
      </c>
      <c r="P6" s="19"/>
      <c r="Q6" s="8"/>
      <c r="R6" s="8">
        <f>L6*M6</f>
        <v>4800</v>
      </c>
      <c r="S6" s="8">
        <v>0.104</v>
      </c>
    </row>
    <row r="7" spans="1:22" ht="15" x14ac:dyDescent="0.15">
      <c r="A7" s="8">
        <v>1203</v>
      </c>
      <c r="B7" s="8" t="s">
        <v>15</v>
      </c>
      <c r="C7" s="9">
        <v>43633</v>
      </c>
      <c r="D7" s="8" t="s">
        <v>62</v>
      </c>
      <c r="E7" s="8" t="s">
        <v>63</v>
      </c>
      <c r="F7" s="8" t="s">
        <v>35</v>
      </c>
      <c r="G7" s="8" t="s">
        <v>47</v>
      </c>
      <c r="H7" s="8" t="s">
        <v>38</v>
      </c>
      <c r="I7" s="8">
        <v>4300</v>
      </c>
      <c r="J7" s="9">
        <v>43658</v>
      </c>
      <c r="K7" s="8"/>
      <c r="L7" s="8">
        <v>70</v>
      </c>
      <c r="M7" s="8">
        <v>-45</v>
      </c>
      <c r="N7" s="19">
        <v>-8174.9503999999997</v>
      </c>
      <c r="O7" s="19">
        <f>N7-L7*M7</f>
        <v>-5024.9503999999997</v>
      </c>
      <c r="P7" s="19"/>
      <c r="Q7" s="8"/>
      <c r="R7" s="8">
        <f t="shared" ref="R7:R9" si="0">L7*M7</f>
        <v>-3150</v>
      </c>
      <c r="S7" s="8">
        <v>0.104</v>
      </c>
    </row>
    <row r="8" spans="1:22" ht="15" x14ac:dyDescent="0.15">
      <c r="A8" s="8">
        <v>1204</v>
      </c>
      <c r="B8" s="8" t="s">
        <v>15</v>
      </c>
      <c r="C8" s="9">
        <v>43633</v>
      </c>
      <c r="D8" s="8" t="s">
        <v>62</v>
      </c>
      <c r="E8" s="8" t="s">
        <v>66</v>
      </c>
      <c r="F8" s="8" t="s">
        <v>35</v>
      </c>
      <c r="G8" s="8" t="s">
        <v>68</v>
      </c>
      <c r="H8" s="8" t="s">
        <v>39</v>
      </c>
      <c r="I8" s="8">
        <v>4400</v>
      </c>
      <c r="J8" s="9">
        <v>43658</v>
      </c>
      <c r="K8" s="8"/>
      <c r="L8" s="8">
        <v>80</v>
      </c>
      <c r="M8" s="8">
        <v>-50</v>
      </c>
      <c r="N8" s="19">
        <v>-1137.0843</v>
      </c>
      <c r="O8" s="19">
        <f t="shared" ref="O8:O9" si="1">N8-L8*M8</f>
        <v>2862.9157</v>
      </c>
      <c r="P8" s="19"/>
      <c r="Q8" s="8"/>
      <c r="R8" s="8">
        <f t="shared" si="0"/>
        <v>-4000</v>
      </c>
      <c r="S8" s="8">
        <v>0.105</v>
      </c>
    </row>
    <row r="9" spans="1:22" ht="15" x14ac:dyDescent="0.15">
      <c r="A9" s="8">
        <v>1205</v>
      </c>
      <c r="B9" s="8" t="s">
        <v>15</v>
      </c>
      <c r="C9" s="9">
        <v>43633</v>
      </c>
      <c r="D9" s="8" t="s">
        <v>62</v>
      </c>
      <c r="E9" s="8" t="s">
        <v>66</v>
      </c>
      <c r="F9" s="8" t="s">
        <v>35</v>
      </c>
      <c r="G9" s="8" t="s">
        <v>47</v>
      </c>
      <c r="H9" s="8" t="s">
        <v>39</v>
      </c>
      <c r="I9" s="8">
        <v>4400</v>
      </c>
      <c r="J9" s="9">
        <v>43658</v>
      </c>
      <c r="K9" s="8"/>
      <c r="L9" s="8">
        <v>140</v>
      </c>
      <c r="M9" s="8">
        <v>-70</v>
      </c>
      <c r="N9" s="19">
        <v>-1591.91802412172</v>
      </c>
      <c r="O9" s="19">
        <f t="shared" si="1"/>
        <v>8208.08197587828</v>
      </c>
      <c r="P9" s="19"/>
      <c r="Q9" s="8"/>
      <c r="R9" s="8">
        <f t="shared" si="0"/>
        <v>-9800</v>
      </c>
      <c r="S9" s="8">
        <v>0.105</v>
      </c>
    </row>
    <row r="10" spans="1:22" ht="15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9"/>
      <c r="O10" s="19"/>
      <c r="P10" s="19"/>
      <c r="Q10" s="8"/>
      <c r="R10" s="8"/>
    </row>
    <row r="11" spans="1:22" ht="15" x14ac:dyDescent="0.15">
      <c r="A11" s="8" t="s">
        <v>69</v>
      </c>
      <c r="B11" s="8" t="s">
        <v>40</v>
      </c>
      <c r="C11" s="9">
        <v>43633</v>
      </c>
      <c r="D11" s="8" t="s">
        <v>62</v>
      </c>
      <c r="E11" s="8" t="s">
        <v>63</v>
      </c>
      <c r="F11" s="8"/>
      <c r="G11" s="8"/>
      <c r="H11" s="8"/>
      <c r="I11" s="8"/>
      <c r="J11" s="8"/>
      <c r="K11" s="8"/>
      <c r="L11" s="8"/>
      <c r="M11" s="8">
        <f>M5</f>
        <v>160</v>
      </c>
      <c r="N11" s="19">
        <f>N5</f>
        <v>29066.4902</v>
      </c>
      <c r="O11" s="19">
        <f>O5</f>
        <v>21066.4902</v>
      </c>
      <c r="P11" s="19">
        <f>O11</f>
        <v>21066.4902</v>
      </c>
      <c r="Q11" s="8"/>
      <c r="R11" s="8">
        <f>R5</f>
        <v>8000</v>
      </c>
    </row>
    <row r="12" spans="1:22" ht="15" x14ac:dyDescent="0.15">
      <c r="A12" s="8" t="s">
        <v>70</v>
      </c>
      <c r="B12" s="8" t="s">
        <v>40</v>
      </c>
      <c r="C12" s="9">
        <v>43633</v>
      </c>
      <c r="D12" s="8" t="s">
        <v>62</v>
      </c>
      <c r="E12" s="8" t="s">
        <v>63</v>
      </c>
      <c r="F12" s="8"/>
      <c r="G12" s="8"/>
      <c r="H12" s="8"/>
      <c r="I12" s="8"/>
      <c r="J12" s="8"/>
      <c r="K12" s="8"/>
      <c r="L12" s="8"/>
      <c r="M12" s="8">
        <f>M2+M6+M7</f>
        <v>-65</v>
      </c>
      <c r="N12" s="19">
        <v>-11808.2616349197</v>
      </c>
      <c r="O12" s="19">
        <f>N12-N2-R12</f>
        <v>34993.9195671985</v>
      </c>
      <c r="P12" s="19">
        <f>O12+P2</f>
        <v>26541.738365080302</v>
      </c>
      <c r="Q12" s="8"/>
      <c r="R12" s="8">
        <f>SUM(R6:R7)+R2</f>
        <v>-18350</v>
      </c>
    </row>
    <row r="13" spans="1:22" ht="15" x14ac:dyDescent="0.15">
      <c r="A13" s="8" t="s">
        <v>71</v>
      </c>
      <c r="B13" s="8" t="s">
        <v>40</v>
      </c>
      <c r="C13" s="9">
        <v>43633</v>
      </c>
      <c r="D13" s="8" t="s">
        <v>62</v>
      </c>
      <c r="E13" s="8" t="s">
        <v>66</v>
      </c>
      <c r="M13" s="8">
        <f>M3+M8</f>
        <v>30</v>
      </c>
      <c r="N13" s="19">
        <v>682.25058176645302</v>
      </c>
      <c r="O13" s="19">
        <f>N13-N3-R13</f>
        <v>-4546.6883097868867</v>
      </c>
      <c r="P13" s="19">
        <f>O13+P3</f>
        <v>2282.2505817664533</v>
      </c>
      <c r="R13" s="8">
        <f>R8+R3</f>
        <v>-2800</v>
      </c>
    </row>
    <row r="14" spans="1:22" ht="15" x14ac:dyDescent="0.15">
      <c r="A14" s="8" t="s">
        <v>72</v>
      </c>
      <c r="B14" s="8" t="s">
        <v>40</v>
      </c>
      <c r="C14" s="9">
        <v>43633</v>
      </c>
      <c r="D14" s="8" t="s">
        <v>62</v>
      </c>
      <c r="E14" s="8" t="s">
        <v>66</v>
      </c>
      <c r="M14" s="8">
        <f t="shared" ref="M14:O14" si="2">M9</f>
        <v>-70</v>
      </c>
      <c r="N14" s="19">
        <f t="shared" si="2"/>
        <v>-1591.91802412172</v>
      </c>
      <c r="O14" s="19">
        <f t="shared" si="2"/>
        <v>8208.08197587828</v>
      </c>
      <c r="P14" s="19">
        <f t="shared" ref="P14" si="3">O14</f>
        <v>8208.08197587828</v>
      </c>
      <c r="R14" s="8">
        <f t="shared" ref="R13:R14" si="4">R9</f>
        <v>-9800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RB1909_商品期货</vt:lpstr>
      <vt:lpstr>RB1909_场内期权</vt:lpstr>
      <vt:lpstr>JD1909_商品期货</vt:lpstr>
      <vt:lpstr>JD1909_场内期权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2019-06-15T03:28:04Z</dcterms:created>
  <dcterms:modified xsi:type="dcterms:W3CDTF">2019-06-17T06:03:46Z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849fae46-788d-429e-9c8b-88f57c4eacd1</vt:lpwstr>
  </property>
</Properties>
</file>